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8445"/>
  </bookViews>
  <sheets>
    <sheet name="Input Sheet" sheetId="2" r:id="rId1"/>
    <sheet name="Cap Budg" sheetId="3" r:id="rId2"/>
    <sheet name="Analysis Chart" sheetId="4" r:id="rId3"/>
  </sheets>
  <calcPr calcId="124519"/>
</workbook>
</file>

<file path=xl/calcChain.xml><?xml version="1.0" encoding="utf-8"?>
<calcChain xmlns="http://schemas.openxmlformats.org/spreadsheetml/2006/main">
  <c r="L49" i="3"/>
  <c r="K49"/>
  <c r="J49"/>
  <c r="I49"/>
  <c r="H49"/>
  <c r="G49"/>
  <c r="F49"/>
  <c r="E49"/>
  <c r="D49"/>
  <c r="C49"/>
  <c r="B50"/>
  <c r="C48"/>
  <c r="C22"/>
  <c r="C20"/>
  <c r="C21" s="1"/>
  <c r="L19"/>
  <c r="L24" s="1"/>
  <c r="L28" s="1"/>
  <c r="K19"/>
  <c r="J19"/>
  <c r="J31" s="1"/>
  <c r="I19"/>
  <c r="I24" s="1"/>
  <c r="I28" s="1"/>
  <c r="H19"/>
  <c r="H24" s="1"/>
  <c r="H28" s="1"/>
  <c r="G19"/>
  <c r="G24" s="1"/>
  <c r="G28" s="1"/>
  <c r="F19"/>
  <c r="F24" s="1"/>
  <c r="F28" s="1"/>
  <c r="E19"/>
  <c r="E24" s="1"/>
  <c r="E28" s="1"/>
  <c r="D19"/>
  <c r="D24" s="1"/>
  <c r="D28" s="1"/>
  <c r="C19"/>
  <c r="C31" s="1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B11"/>
  <c r="B10"/>
  <c r="B9"/>
  <c r="B7"/>
  <c r="B6"/>
  <c r="D23" i="2"/>
  <c r="E23"/>
  <c r="F23"/>
  <c r="G23"/>
  <c r="H23"/>
  <c r="I23"/>
  <c r="J23"/>
  <c r="K23"/>
  <c r="L23"/>
  <c r="B31" i="3"/>
  <c r="J24"/>
  <c r="J28" s="1"/>
  <c r="K11" i="2"/>
  <c r="K24" i="3" l="1"/>
  <c r="K28" s="1"/>
  <c r="B8"/>
  <c r="B12" s="1"/>
  <c r="B30" s="1"/>
  <c r="B37" s="1"/>
  <c r="G31"/>
  <c r="K31"/>
  <c r="E31"/>
  <c r="I31"/>
  <c r="C29"/>
  <c r="D31"/>
  <c r="F31"/>
  <c r="H31"/>
  <c r="L31"/>
  <c r="C24"/>
  <c r="C28" s="1"/>
  <c r="D20"/>
  <c r="D29" s="1"/>
  <c r="C50"/>
  <c r="D22"/>
  <c r="E22" s="1"/>
  <c r="F22" s="1"/>
  <c r="G22" s="1"/>
  <c r="H22" s="1"/>
  <c r="I22" s="1"/>
  <c r="J22" s="1"/>
  <c r="K22" s="1"/>
  <c r="L22" s="1"/>
  <c r="C23"/>
  <c r="D48"/>
  <c r="B32" l="1"/>
  <c r="B36" s="1"/>
  <c r="D21"/>
  <c r="C25"/>
  <c r="C26" s="1"/>
  <c r="D23"/>
  <c r="D25" s="1"/>
  <c r="D26" s="1"/>
  <c r="E20"/>
  <c r="F20" s="1"/>
  <c r="D27"/>
  <c r="D30" s="1"/>
  <c r="D32" s="1"/>
  <c r="D50"/>
  <c r="E48"/>
  <c r="F21" l="1"/>
  <c r="E21"/>
  <c r="E29"/>
  <c r="F29" s="1"/>
  <c r="E23"/>
  <c r="E25" s="1"/>
  <c r="E26" s="1"/>
  <c r="C27"/>
  <c r="C30" s="1"/>
  <c r="C37" s="1"/>
  <c r="D37" s="1"/>
  <c r="E27"/>
  <c r="E50"/>
  <c r="F48"/>
  <c r="F23"/>
  <c r="F25" s="1"/>
  <c r="F26" s="1"/>
  <c r="G20"/>
  <c r="E30" l="1"/>
  <c r="E32" s="1"/>
  <c r="G21"/>
  <c r="G29"/>
  <c r="C32"/>
  <c r="C36" s="1"/>
  <c r="D36" s="1"/>
  <c r="E36" s="1"/>
  <c r="H20"/>
  <c r="G23"/>
  <c r="G25" s="1"/>
  <c r="G26" s="1"/>
  <c r="F27"/>
  <c r="F30" s="1"/>
  <c r="F32" s="1"/>
  <c r="F50"/>
  <c r="G48"/>
  <c r="E37" l="1"/>
  <c r="F37" s="1"/>
  <c r="F36"/>
  <c r="H21"/>
  <c r="H23" s="1"/>
  <c r="H25" s="1"/>
  <c r="H26" s="1"/>
  <c r="H29"/>
  <c r="G27"/>
  <c r="G30" s="1"/>
  <c r="G32" s="1"/>
  <c r="G50"/>
  <c r="H48"/>
  <c r="I20"/>
  <c r="G37" l="1"/>
  <c r="G36"/>
  <c r="I21"/>
  <c r="I23" s="1"/>
  <c r="I25" s="1"/>
  <c r="I26" s="1"/>
  <c r="I29"/>
  <c r="J20"/>
  <c r="H27"/>
  <c r="H30" s="1"/>
  <c r="H50"/>
  <c r="I48"/>
  <c r="H37" l="1"/>
  <c r="H32"/>
  <c r="H36" s="1"/>
  <c r="J21"/>
  <c r="J23" s="1"/>
  <c r="J25" s="1"/>
  <c r="J26" s="1"/>
  <c r="J29"/>
  <c r="I27"/>
  <c r="I30" s="1"/>
  <c r="I32" s="1"/>
  <c r="I50"/>
  <c r="J48"/>
  <c r="K20"/>
  <c r="K21" s="1"/>
  <c r="I37" l="1"/>
  <c r="J37" s="1"/>
  <c r="K29"/>
  <c r="I36"/>
  <c r="L20"/>
  <c r="K23"/>
  <c r="K25" s="1"/>
  <c r="K26" s="1"/>
  <c r="J27"/>
  <c r="J30" s="1"/>
  <c r="J32" s="1"/>
  <c r="J50"/>
  <c r="K48"/>
  <c r="J36" l="1"/>
  <c r="L21"/>
  <c r="L29"/>
  <c r="K27"/>
  <c r="K30" s="1"/>
  <c r="K32" s="1"/>
  <c r="K50"/>
  <c r="L48"/>
  <c r="L50" s="1"/>
  <c r="L16"/>
  <c r="L23"/>
  <c r="L25" s="1"/>
  <c r="L26" s="1"/>
  <c r="K37" l="1"/>
  <c r="K36"/>
  <c r="L27"/>
  <c r="L30" s="1"/>
  <c r="L37" l="1"/>
  <c r="L32"/>
  <c r="C43"/>
  <c r="C44"/>
  <c r="C42" l="1"/>
  <c r="L36"/>
</calcChain>
</file>

<file path=xl/sharedStrings.xml><?xml version="1.0" encoding="utf-8"?>
<sst xmlns="http://schemas.openxmlformats.org/spreadsheetml/2006/main" count="73" uniqueCount="70">
  <si>
    <t>Equity Analysis of a Project</t>
  </si>
  <si>
    <t>INPUT SHEET: USER ENTERS ALL BOLD NUMBERS</t>
  </si>
  <si>
    <t>INITIAL INVESTMENT</t>
  </si>
  <si>
    <t>CASHFLOW DETAILS</t>
  </si>
  <si>
    <t>DISCOUNT RATE</t>
  </si>
  <si>
    <t>Initial Investment=</t>
  </si>
  <si>
    <t>Revenues in  year 1=</t>
  </si>
  <si>
    <t>Approach(1:Direct;2:CAPM)=</t>
  </si>
  <si>
    <t>Opportunity cost (if any)=</t>
  </si>
  <si>
    <t>Var. Expenses as % of Rev=</t>
  </si>
  <si>
    <t>1. Discount rate =</t>
  </si>
  <si>
    <t>Lifetime of the investment</t>
  </si>
  <si>
    <t>Fixed expenses in year 1=</t>
  </si>
  <si>
    <t>2a. Beta</t>
  </si>
  <si>
    <t>Salvage Value at end of project=</t>
  </si>
  <si>
    <t>Tax rate on net income=</t>
  </si>
  <si>
    <t xml:space="preserve"> b. Riskless rate=</t>
  </si>
  <si>
    <t>Deprec. method(1:St.line;2:DDB)=</t>
  </si>
  <si>
    <t>If you do not have the breakdown of fixed and variable</t>
  </si>
  <si>
    <t xml:space="preserve"> c. Market risk premium =</t>
  </si>
  <si>
    <t>Tax Credit (if any )=</t>
  </si>
  <si>
    <t>expenses, input the entire expense as a % of revenues.</t>
  </si>
  <si>
    <t xml:space="preserve"> d. Debt Ratio =</t>
  </si>
  <si>
    <t>Other invest.(non-depreciable)=</t>
  </si>
  <si>
    <t xml:space="preserve"> e. Cost of Borrowing =</t>
  </si>
  <si>
    <t>Discount rate used=</t>
  </si>
  <si>
    <t>WORKING CAPITAL</t>
  </si>
  <si>
    <t>Initial Investment in Work. Cap=</t>
  </si>
  <si>
    <t>Working Capital as % of Rev=</t>
  </si>
  <si>
    <t>Salvageable fraction at end=</t>
  </si>
  <si>
    <t>GROWTH RATES</t>
  </si>
  <si>
    <t>Revenues</t>
  </si>
  <si>
    <t>Do not enter</t>
  </si>
  <si>
    <t>Fixed Expenses</t>
  </si>
  <si>
    <t>Default: The fixed expense growth rate is set equal to the growth rate in revenues by default.</t>
  </si>
  <si>
    <t>YEAR</t>
  </si>
  <si>
    <t>Investment</t>
  </si>
  <si>
    <t xml:space="preserve"> - Tax Credit</t>
  </si>
  <si>
    <t>Net Investment</t>
  </si>
  <si>
    <t xml:space="preserve"> + Working Cap</t>
  </si>
  <si>
    <t xml:space="preserve"> + Opp. Cost</t>
  </si>
  <si>
    <t xml:space="preserve"> + Other invest.</t>
  </si>
  <si>
    <t>Initial Investment</t>
  </si>
  <si>
    <t>SALVAGE VALUE</t>
  </si>
  <si>
    <t>Equipment</t>
  </si>
  <si>
    <t>Working Capital</t>
  </si>
  <si>
    <t>OPERATING CASHFLOWS</t>
  </si>
  <si>
    <t>Lifetime Index</t>
  </si>
  <si>
    <t xml:space="preserve"> -Var. Expenses</t>
  </si>
  <si>
    <t xml:space="preserve"> - Fixed Expenses</t>
  </si>
  <si>
    <t>EBITDA</t>
  </si>
  <si>
    <t xml:space="preserve"> - Depreciation</t>
  </si>
  <si>
    <t>EBIT</t>
  </si>
  <si>
    <t xml:space="preserve"> -Tax</t>
  </si>
  <si>
    <t>EBIT(1-t)</t>
  </si>
  <si>
    <t xml:space="preserve"> + Depreciation</t>
  </si>
  <si>
    <t xml:space="preserve"> - ∂ Work. Cap</t>
  </si>
  <si>
    <t>Discount Factor</t>
  </si>
  <si>
    <t>Discounted CF</t>
  </si>
  <si>
    <t>Investment Measures</t>
  </si>
  <si>
    <t>NPV =</t>
  </si>
  <si>
    <t>IRR =</t>
  </si>
  <si>
    <t>ROC =</t>
  </si>
  <si>
    <t>BOOK VALUE &amp; DEPRECIATION</t>
  </si>
  <si>
    <t>Book Value (beginning)</t>
  </si>
  <si>
    <t>Depreciation</t>
  </si>
  <si>
    <t>BV(ending)</t>
  </si>
  <si>
    <t>NPV</t>
  </si>
  <si>
    <t>Cummulative Cash Flow</t>
  </si>
  <si>
    <t xml:space="preserve">NATCF (Net After Tax Cash Flow) 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</si>
</sst>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8" formatCode="&quot;$&quot;#,##0.00_);[Red]\(&quot;$&quot;#,##0.00\)"/>
  </numFmts>
  <fonts count="16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name val="Geneva"/>
    </font>
    <font>
      <b/>
      <i/>
      <sz val="10"/>
      <name val="Geneva"/>
    </font>
    <font>
      <sz val="10"/>
      <name val="Times"/>
    </font>
    <font>
      <b/>
      <sz val="10"/>
      <name val="Times"/>
    </font>
    <font>
      <i/>
      <sz val="10"/>
      <name val="Times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mbria"/>
      <family val="1"/>
      <scheme val="major"/>
    </font>
    <font>
      <sz val="10"/>
      <color theme="0"/>
      <name val="Times"/>
    </font>
    <font>
      <b/>
      <sz val="16"/>
      <color theme="0"/>
      <name val="Cambria"/>
      <family val="1"/>
      <scheme val="maj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68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13" xfId="0" applyFont="1" applyBorder="1"/>
    <xf numFmtId="0" fontId="7" fillId="0" borderId="0" xfId="0" applyFont="1" applyAlignment="1">
      <alignment horizontal="center"/>
    </xf>
    <xf numFmtId="10" fontId="7" fillId="0" borderId="16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0" xfId="0" applyFont="1" applyBorder="1"/>
    <xf numFmtId="0" fontId="7" fillId="0" borderId="18" xfId="0" applyFont="1" applyBorder="1"/>
    <xf numFmtId="5" fontId="7" fillId="0" borderId="0" xfId="0" applyNumberFormat="1" applyFont="1" applyBorder="1"/>
    <xf numFmtId="10" fontId="2" fillId="3" borderId="2" xfId="2" applyNumberFormat="1"/>
    <xf numFmtId="10" fontId="1" fillId="2" borderId="1" xfId="1" applyNumberFormat="1"/>
    <xf numFmtId="0" fontId="10" fillId="0" borderId="12" xfId="0" applyFont="1" applyBorder="1"/>
    <xf numFmtId="0" fontId="11" fillId="0" borderId="0" xfId="0" applyFont="1" applyBorder="1"/>
    <xf numFmtId="8" fontId="0" fillId="0" borderId="0" xfId="0" applyNumberFormat="1"/>
    <xf numFmtId="5" fontId="2" fillId="3" borderId="2" xfId="2" applyNumberFormat="1"/>
    <xf numFmtId="0" fontId="2" fillId="3" borderId="2" xfId="2"/>
    <xf numFmtId="0" fontId="8" fillId="4" borderId="3" xfId="0" applyFont="1" applyFill="1" applyBorder="1" applyAlignment="1">
      <alignment horizontal="centerContinuous"/>
    </xf>
    <xf numFmtId="0" fontId="8" fillId="4" borderId="5" xfId="0" applyFont="1" applyFill="1" applyBorder="1" applyAlignment="1">
      <alignment horizontal="centerContinuous"/>
    </xf>
    <xf numFmtId="0" fontId="8" fillId="5" borderId="9" xfId="0" applyFont="1" applyFill="1" applyBorder="1"/>
    <xf numFmtId="0" fontId="8" fillId="5" borderId="12" xfId="0" applyFont="1" applyFill="1" applyBorder="1"/>
    <xf numFmtId="0" fontId="7" fillId="5" borderId="11" xfId="0" applyFont="1" applyFill="1" applyBorder="1"/>
    <xf numFmtId="0" fontId="7" fillId="5" borderId="14" xfId="0" applyFont="1" applyFill="1" applyBorder="1"/>
    <xf numFmtId="0" fontId="7" fillId="5" borderId="0" xfId="0" applyFont="1" applyFill="1"/>
    <xf numFmtId="0" fontId="10" fillId="5" borderId="10" xfId="0" applyFont="1" applyFill="1" applyBorder="1"/>
    <xf numFmtId="0" fontId="12" fillId="4" borderId="0" xfId="0" applyFont="1" applyFill="1"/>
    <xf numFmtId="0" fontId="13" fillId="4" borderId="6" xfId="0" applyFont="1" applyFill="1" applyBorder="1"/>
    <xf numFmtId="0" fontId="13" fillId="4" borderId="0" xfId="0" applyFont="1" applyFill="1"/>
    <xf numFmtId="0" fontId="3" fillId="4" borderId="0" xfId="0" applyFont="1" applyFill="1" applyAlignment="1">
      <alignment horizontal="center"/>
    </xf>
    <xf numFmtId="5" fontId="1" fillId="2" borderId="1" xfId="1" applyNumberFormat="1" applyAlignment="1">
      <alignment horizontal="center"/>
    </xf>
    <xf numFmtId="0" fontId="1" fillId="2" borderId="1" xfId="1" applyAlignment="1">
      <alignment horizontal="center"/>
    </xf>
    <xf numFmtId="9" fontId="1" fillId="2" borderId="1" xfId="1" applyNumberFormat="1" applyAlignment="1">
      <alignment horizontal="center"/>
    </xf>
    <xf numFmtId="0" fontId="13" fillId="4" borderId="4" xfId="0" applyFont="1" applyFill="1" applyBorder="1"/>
    <xf numFmtId="0" fontId="13" fillId="4" borderId="5" xfId="0" applyFont="1" applyFill="1" applyBorder="1"/>
    <xf numFmtId="0" fontId="13" fillId="4" borderId="7" xfId="0" applyFont="1" applyFill="1" applyBorder="1"/>
    <xf numFmtId="0" fontId="7" fillId="5" borderId="0" xfId="0" applyFont="1" applyFill="1" applyBorder="1"/>
    <xf numFmtId="0" fontId="7" fillId="5" borderId="13" xfId="0" applyFont="1" applyFill="1" applyBorder="1"/>
    <xf numFmtId="0" fontId="10" fillId="5" borderId="9" xfId="0" applyFont="1" applyFill="1" applyBorder="1"/>
    <xf numFmtId="0" fontId="13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9" fillId="5" borderId="11" xfId="0" applyFont="1" applyFill="1" applyBorder="1"/>
    <xf numFmtId="0" fontId="7" fillId="5" borderId="15" xfId="0" applyFont="1" applyFill="1" applyBorder="1"/>
    <xf numFmtId="0" fontId="7" fillId="6" borderId="0" xfId="0" applyFont="1" applyFill="1"/>
    <xf numFmtId="0" fontId="7" fillId="4" borderId="20" xfId="0" applyFont="1" applyFill="1" applyBorder="1"/>
    <xf numFmtId="0" fontId="7" fillId="4" borderId="19" xfId="0" applyFont="1" applyFill="1" applyBorder="1"/>
    <xf numFmtId="0" fontId="4" fillId="4" borderId="3" xfId="0" applyFont="1" applyFill="1" applyBorder="1"/>
    <xf numFmtId="0" fontId="10" fillId="5" borderId="0" xfId="0" applyFont="1" applyFill="1" applyBorder="1"/>
    <xf numFmtId="0" fontId="10" fillId="5" borderId="12" xfId="0" applyFont="1" applyFill="1" applyBorder="1"/>
    <xf numFmtId="0" fontId="10" fillId="5" borderId="13" xfId="0" applyFont="1" applyFill="1" applyBorder="1"/>
    <xf numFmtId="9" fontId="1" fillId="2" borderId="21" xfId="1" applyNumberFormat="1" applyBorder="1" applyAlignment="1">
      <alignment horizontal="center"/>
    </xf>
    <xf numFmtId="0" fontId="13" fillId="4" borderId="22" xfId="0" applyFont="1" applyFill="1" applyBorder="1"/>
    <xf numFmtId="5" fontId="1" fillId="2" borderId="23" xfId="1" applyNumberFormat="1" applyBorder="1" applyAlignment="1">
      <alignment horizontal="center"/>
    </xf>
    <xf numFmtId="9" fontId="1" fillId="2" borderId="23" xfId="1" applyNumberFormat="1" applyBorder="1" applyAlignment="1">
      <alignment horizontal="center"/>
    </xf>
    <xf numFmtId="0" fontId="1" fillId="2" borderId="23" xfId="1" applyBorder="1" applyAlignment="1">
      <alignment horizontal="center"/>
    </xf>
    <xf numFmtId="9" fontId="1" fillId="2" borderId="24" xfId="1" applyNumberFormat="1" applyBorder="1" applyAlignment="1">
      <alignment horizontal="center"/>
    </xf>
    <xf numFmtId="0" fontId="13" fillId="4" borderId="26" xfId="0" applyFont="1" applyFill="1" applyBorder="1"/>
    <xf numFmtId="10" fontId="1" fillId="2" borderId="23" xfId="1" applyNumberFormat="1" applyBorder="1" applyAlignment="1">
      <alignment horizontal="center"/>
    </xf>
    <xf numFmtId="0" fontId="15" fillId="0" borderId="0" xfId="0" applyFont="1"/>
    <xf numFmtId="0" fontId="15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5" fontId="7" fillId="0" borderId="0" xfId="0" applyNumberFormat="1" applyFont="1"/>
    <xf numFmtId="0" fontId="14" fillId="4" borderId="0" xfId="0" applyFont="1" applyFill="1" applyAlignment="1">
      <alignment horizontal="center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NPV, Break Even, Cash Flow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Cash Flow</c:v>
          </c:tx>
          <c:cat>
            <c:numRef>
              <c:f>'Cap Budg'!$C$4:$L$4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'Cap Budg'!$B$30:$L$30</c:f>
              <c:numCache>
                <c:formatCode>"$"#,##0_);\("$"#,##0\)</c:formatCode>
                <c:ptCount val="11"/>
                <c:pt idx="0">
                  <c:v>-62484</c:v>
                </c:pt>
                <c:pt idx="1">
                  <c:v>16000</c:v>
                </c:pt>
                <c:pt idx="2">
                  <c:v>15400</c:v>
                </c:pt>
                <c:pt idx="3">
                  <c:v>15979.999999999998</c:v>
                </c:pt>
                <c:pt idx="4">
                  <c:v>16810.000000000007</c:v>
                </c:pt>
                <c:pt idx="5">
                  <c:v>17876.600000000006</c:v>
                </c:pt>
                <c:pt idx="6">
                  <c:v>18879.920000000006</c:v>
                </c:pt>
                <c:pt idx="7">
                  <c:v>18617.776000000005</c:v>
                </c:pt>
                <c:pt idx="8">
                  <c:v>18408.060800000007</c:v>
                </c:pt>
                <c:pt idx="9">
                  <c:v>18240.288640000006</c:v>
                </c:pt>
                <c:pt idx="10">
                  <c:v>18106.070912000007</c:v>
                </c:pt>
              </c:numCache>
            </c:numRef>
          </c:val>
        </c:ser>
        <c:ser>
          <c:idx val="2"/>
          <c:order val="1"/>
          <c:tx>
            <c:v>NPV of Investment</c:v>
          </c:tx>
          <c:cat>
            <c:numRef>
              <c:f>'Cap Budg'!$C$4:$L$4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'Cap Budg'!$B$36:$L$36</c:f>
              <c:numCache>
                <c:formatCode>"$"#,##0_);\("$"#,##0\)</c:formatCode>
                <c:ptCount val="11"/>
                <c:pt idx="0">
                  <c:v>-62484</c:v>
                </c:pt>
                <c:pt idx="1">
                  <c:v>-48028.563400641462</c:v>
                </c:pt>
                <c:pt idx="2">
                  <c:v>-35458.334619069807</c:v>
                </c:pt>
                <c:pt idx="3">
                  <c:v>-23673.853449592421</c:v>
                </c:pt>
                <c:pt idx="4">
                  <c:v>-12473.992369520343</c:v>
                </c:pt>
                <c:pt idx="5">
                  <c:v>-1713.278695542278</c:v>
                </c:pt>
                <c:pt idx="6">
                  <c:v>8554.2880170326134</c:v>
                </c:pt>
                <c:pt idx="7">
                  <c:v>17701.872201960949</c:v>
                </c:pt>
                <c:pt idx="8">
                  <c:v>25873.298818670963</c:v>
                </c:pt>
                <c:pt idx="9">
                  <c:v>33188.60960961075</c:v>
                </c:pt>
                <c:pt idx="10">
                  <c:v>46865.758130965783</c:v>
                </c:pt>
              </c:numCache>
            </c:numRef>
          </c:val>
        </c:ser>
        <c:ser>
          <c:idx val="4"/>
          <c:order val="3"/>
          <c:tx>
            <c:v>Cummulative Cash Flow</c:v>
          </c:tx>
          <c:cat>
            <c:numRef>
              <c:f>'Cap Budg'!$C$4:$L$4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'Cap Budg'!$B$37:$L$37</c:f>
              <c:numCache>
                <c:formatCode>"$"#,##0_);\("$"#,##0\)</c:formatCode>
                <c:ptCount val="11"/>
                <c:pt idx="0">
                  <c:v>-62484</c:v>
                </c:pt>
                <c:pt idx="1">
                  <c:v>-46484</c:v>
                </c:pt>
                <c:pt idx="2">
                  <c:v>-31084</c:v>
                </c:pt>
                <c:pt idx="3">
                  <c:v>-15104.000000000002</c:v>
                </c:pt>
                <c:pt idx="4">
                  <c:v>1706.0000000000055</c:v>
                </c:pt>
                <c:pt idx="5">
                  <c:v>19582.600000000013</c:v>
                </c:pt>
                <c:pt idx="6">
                  <c:v>38462.520000000019</c:v>
                </c:pt>
                <c:pt idx="7">
                  <c:v>57080.296000000024</c:v>
                </c:pt>
                <c:pt idx="8">
                  <c:v>75488.356800000038</c:v>
                </c:pt>
                <c:pt idx="9">
                  <c:v>93728.645440000051</c:v>
                </c:pt>
                <c:pt idx="10">
                  <c:v>111834.71635200006</c:v>
                </c:pt>
              </c:numCache>
            </c:numRef>
          </c:val>
        </c:ser>
        <c:axId val="102934784"/>
        <c:axId val="102944768"/>
      </c:barChart>
      <c:lineChart>
        <c:grouping val="standard"/>
        <c:ser>
          <c:idx val="3"/>
          <c:order val="2"/>
          <c:tx>
            <c:v>Break Even</c:v>
          </c:tx>
          <c:marker>
            <c:symbol val="none"/>
          </c:marker>
          <c:val>
            <c:numRef>
              <c:f>'Cap Budg'!$B$36:$L$36</c:f>
              <c:numCache>
                <c:formatCode>"$"#,##0_);\("$"#,##0\)</c:formatCode>
                <c:ptCount val="11"/>
                <c:pt idx="0">
                  <c:v>-62484</c:v>
                </c:pt>
                <c:pt idx="1">
                  <c:v>-48028.563400641462</c:v>
                </c:pt>
                <c:pt idx="2">
                  <c:v>-35458.334619069807</c:v>
                </c:pt>
                <c:pt idx="3">
                  <c:v>-23673.853449592421</c:v>
                </c:pt>
                <c:pt idx="4">
                  <c:v>-12473.992369520343</c:v>
                </c:pt>
                <c:pt idx="5">
                  <c:v>-1713.278695542278</c:v>
                </c:pt>
                <c:pt idx="6">
                  <c:v>8554.2880170326134</c:v>
                </c:pt>
                <c:pt idx="7">
                  <c:v>17701.872201960949</c:v>
                </c:pt>
                <c:pt idx="8">
                  <c:v>25873.298818670963</c:v>
                </c:pt>
                <c:pt idx="9">
                  <c:v>33188.60960961075</c:v>
                </c:pt>
                <c:pt idx="10">
                  <c:v>46865.758130965783</c:v>
                </c:pt>
              </c:numCache>
            </c:numRef>
          </c:val>
        </c:ser>
        <c:marker val="1"/>
        <c:axId val="102934784"/>
        <c:axId val="102944768"/>
      </c:lineChart>
      <c:catAx>
        <c:axId val="102934784"/>
        <c:scaling>
          <c:orientation val="minMax"/>
        </c:scaling>
        <c:axPos val="b"/>
        <c:numFmt formatCode="General" sourceLinked="1"/>
        <c:tickLblPos val="nextTo"/>
        <c:crossAx val="102944768"/>
        <c:crosses val="autoZero"/>
        <c:auto val="1"/>
        <c:lblAlgn val="ctr"/>
        <c:lblOffset val="100"/>
      </c:catAx>
      <c:valAx>
        <c:axId val="102944768"/>
        <c:scaling>
          <c:orientation val="minMax"/>
        </c:scaling>
        <c:axPos val="l"/>
        <c:majorGridlines/>
        <c:numFmt formatCode="&quot;$&quot;#,##0_);\(&quot;$&quot;#,##0\)" sourceLinked="1"/>
        <c:tickLblPos val="nextTo"/>
        <c:crossAx val="1029347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Revenue,</a:t>
            </a:r>
            <a:r>
              <a:rPr lang="en-US" baseline="0"/>
              <a:t> EBITDA and EBIT Analysis along with NATCF and Discounted CF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'Cap Budg'!$A$20</c:f>
              <c:strCache>
                <c:ptCount val="1"/>
                <c:pt idx="0">
                  <c:v>Revenues</c:v>
                </c:pt>
              </c:strCache>
            </c:strRef>
          </c:tx>
          <c:val>
            <c:numRef>
              <c:f>'Cap Budg'!$B$20:$L$20</c:f>
              <c:numCache>
                <c:formatCode>"$"#,##0_);\("$"#,##0\)</c:formatCode>
                <c:ptCount val="11"/>
                <c:pt idx="1">
                  <c:v>40000</c:v>
                </c:pt>
                <c:pt idx="2">
                  <c:v>44000</c:v>
                </c:pt>
                <c:pt idx="3">
                  <c:v>48400.000000000007</c:v>
                </c:pt>
                <c:pt idx="4">
                  <c:v>53240.000000000015</c:v>
                </c:pt>
                <c:pt idx="5">
                  <c:v>58564.000000000022</c:v>
                </c:pt>
                <c:pt idx="6">
                  <c:v>58564.000000000022</c:v>
                </c:pt>
                <c:pt idx="7">
                  <c:v>58564.000000000022</c:v>
                </c:pt>
                <c:pt idx="8">
                  <c:v>58564.000000000022</c:v>
                </c:pt>
                <c:pt idx="9">
                  <c:v>58564.000000000022</c:v>
                </c:pt>
                <c:pt idx="10">
                  <c:v>58564.000000000022</c:v>
                </c:pt>
              </c:numCache>
            </c:numRef>
          </c:val>
        </c:ser>
        <c:ser>
          <c:idx val="1"/>
          <c:order val="1"/>
          <c:tx>
            <c:strRef>
              <c:f>'Cap Budg'!$A$23</c:f>
              <c:strCache>
                <c:ptCount val="1"/>
                <c:pt idx="0">
                  <c:v>EBITDA</c:v>
                </c:pt>
              </c:strCache>
            </c:strRef>
          </c:tx>
          <c:val>
            <c:numRef>
              <c:f>'Cap Budg'!$B$23:$L$23</c:f>
              <c:numCache>
                <c:formatCode>"$"#,##0_);\("$"#,##0\)</c:formatCode>
                <c:ptCount val="11"/>
                <c:pt idx="1">
                  <c:v>20000</c:v>
                </c:pt>
                <c:pt idx="2">
                  <c:v>22000</c:v>
                </c:pt>
                <c:pt idx="3">
                  <c:v>24200.000000000004</c:v>
                </c:pt>
                <c:pt idx="4">
                  <c:v>26620.000000000007</c:v>
                </c:pt>
                <c:pt idx="5">
                  <c:v>29282.000000000011</c:v>
                </c:pt>
                <c:pt idx="6">
                  <c:v>29282.000000000011</c:v>
                </c:pt>
                <c:pt idx="7">
                  <c:v>29282.000000000011</c:v>
                </c:pt>
                <c:pt idx="8">
                  <c:v>29282.000000000011</c:v>
                </c:pt>
                <c:pt idx="9">
                  <c:v>29282.000000000011</c:v>
                </c:pt>
                <c:pt idx="10">
                  <c:v>29282.000000000011</c:v>
                </c:pt>
              </c:numCache>
            </c:numRef>
          </c:val>
        </c:ser>
        <c:ser>
          <c:idx val="2"/>
          <c:order val="2"/>
          <c:tx>
            <c:strRef>
              <c:f>'Cap Budg'!$A$25</c:f>
              <c:strCache>
                <c:ptCount val="1"/>
                <c:pt idx="0">
                  <c:v>EBIT</c:v>
                </c:pt>
              </c:strCache>
            </c:strRef>
          </c:tx>
          <c:val>
            <c:numRef>
              <c:f>'Cap Budg'!$B$25:$L$25</c:f>
              <c:numCache>
                <c:formatCode>"$"#,##0_);\("$"#,##0\)</c:formatCode>
                <c:ptCount val="11"/>
                <c:pt idx="1">
                  <c:v>10000</c:v>
                </c:pt>
                <c:pt idx="2">
                  <c:v>14000</c:v>
                </c:pt>
                <c:pt idx="3">
                  <c:v>17800</c:v>
                </c:pt>
                <c:pt idx="4">
                  <c:v>21500.000000000007</c:v>
                </c:pt>
                <c:pt idx="5">
                  <c:v>25186.000000000007</c:v>
                </c:pt>
                <c:pt idx="6">
                  <c:v>26005.200000000008</c:v>
                </c:pt>
                <c:pt idx="7">
                  <c:v>26660.560000000009</c:v>
                </c:pt>
                <c:pt idx="8">
                  <c:v>27184.848000000009</c:v>
                </c:pt>
                <c:pt idx="9">
                  <c:v>27604.27840000001</c:v>
                </c:pt>
                <c:pt idx="10">
                  <c:v>27939.822720000011</c:v>
                </c:pt>
              </c:numCache>
            </c:numRef>
          </c:val>
        </c:ser>
        <c:ser>
          <c:idx val="3"/>
          <c:order val="3"/>
          <c:tx>
            <c:strRef>
              <c:f>'Cap Budg'!$A$27</c:f>
              <c:strCache>
                <c:ptCount val="1"/>
                <c:pt idx="0">
                  <c:v>EBIT(1-t)</c:v>
                </c:pt>
              </c:strCache>
            </c:strRef>
          </c:tx>
          <c:val>
            <c:numRef>
              <c:f>'Cap Budg'!$B$27:$L$27</c:f>
              <c:numCache>
                <c:formatCode>"$"#,##0_);\("$"#,##0\)</c:formatCode>
                <c:ptCount val="11"/>
                <c:pt idx="1">
                  <c:v>6000</c:v>
                </c:pt>
                <c:pt idx="2">
                  <c:v>8400</c:v>
                </c:pt>
                <c:pt idx="3">
                  <c:v>10680</c:v>
                </c:pt>
                <c:pt idx="4">
                  <c:v>12900.000000000004</c:v>
                </c:pt>
                <c:pt idx="5">
                  <c:v>15111.600000000004</c:v>
                </c:pt>
                <c:pt idx="6">
                  <c:v>15603.120000000004</c:v>
                </c:pt>
                <c:pt idx="7">
                  <c:v>15996.336000000005</c:v>
                </c:pt>
                <c:pt idx="8">
                  <c:v>16310.908800000005</c:v>
                </c:pt>
                <c:pt idx="9">
                  <c:v>16562.567040000005</c:v>
                </c:pt>
                <c:pt idx="10">
                  <c:v>16763.893632000007</c:v>
                </c:pt>
              </c:numCache>
            </c:numRef>
          </c:val>
        </c:ser>
        <c:axId val="83106048"/>
        <c:axId val="83203584"/>
      </c:barChart>
      <c:lineChart>
        <c:grouping val="standard"/>
        <c:ser>
          <c:idx val="4"/>
          <c:order val="4"/>
          <c:tx>
            <c:strRef>
              <c:f>'Cap Budg'!$A$30</c:f>
              <c:strCache>
                <c:ptCount val="1"/>
                <c:pt idx="0">
                  <c:v>NATCF (Net After Tax Cash Flow) </c:v>
                </c:pt>
              </c:strCache>
            </c:strRef>
          </c:tx>
          <c:marker>
            <c:symbol val="none"/>
          </c:marker>
          <c:val>
            <c:numRef>
              <c:f>'Cap Budg'!$B$30:$L$30</c:f>
              <c:numCache>
                <c:formatCode>"$"#,##0_);\("$"#,##0\)</c:formatCode>
                <c:ptCount val="11"/>
                <c:pt idx="0">
                  <c:v>-62484</c:v>
                </c:pt>
                <c:pt idx="1">
                  <c:v>16000</c:v>
                </c:pt>
                <c:pt idx="2">
                  <c:v>15400</c:v>
                </c:pt>
                <c:pt idx="3">
                  <c:v>15979.999999999998</c:v>
                </c:pt>
                <c:pt idx="4">
                  <c:v>16810.000000000007</c:v>
                </c:pt>
                <c:pt idx="5">
                  <c:v>17876.600000000006</c:v>
                </c:pt>
                <c:pt idx="6">
                  <c:v>18879.920000000006</c:v>
                </c:pt>
                <c:pt idx="7">
                  <c:v>18617.776000000005</c:v>
                </c:pt>
                <c:pt idx="8">
                  <c:v>18408.060800000007</c:v>
                </c:pt>
                <c:pt idx="9">
                  <c:v>18240.288640000006</c:v>
                </c:pt>
                <c:pt idx="10">
                  <c:v>18106.070912000007</c:v>
                </c:pt>
              </c:numCache>
            </c:numRef>
          </c:val>
        </c:ser>
        <c:ser>
          <c:idx val="5"/>
          <c:order val="5"/>
          <c:tx>
            <c:strRef>
              <c:f>'Cap Budg'!$A$32</c:f>
              <c:strCache>
                <c:ptCount val="1"/>
                <c:pt idx="0">
                  <c:v>Discounted CF</c:v>
                </c:pt>
              </c:strCache>
            </c:strRef>
          </c:tx>
          <c:marker>
            <c:symbol val="none"/>
          </c:marker>
          <c:val>
            <c:numRef>
              <c:f>'Cap Budg'!$B$32:$L$32</c:f>
              <c:numCache>
                <c:formatCode>"$"#,##0_);\("$"#,##0\)</c:formatCode>
                <c:ptCount val="11"/>
                <c:pt idx="0">
                  <c:v>-62484</c:v>
                </c:pt>
                <c:pt idx="1">
                  <c:v>14455.436599358538</c:v>
                </c:pt>
                <c:pt idx="2">
                  <c:v>12570.228781571659</c:v>
                </c:pt>
                <c:pt idx="3">
                  <c:v>11784.481169477385</c:v>
                </c:pt>
                <c:pt idx="4">
                  <c:v>11199.861080072078</c:v>
                </c:pt>
                <c:pt idx="5">
                  <c:v>10760.713673978065</c:v>
                </c:pt>
                <c:pt idx="6">
                  <c:v>10267.566712574891</c:v>
                </c:pt>
                <c:pt idx="7">
                  <c:v>9147.5841849283352</c:v>
                </c:pt>
                <c:pt idx="8">
                  <c:v>8171.4266167100122</c:v>
                </c:pt>
                <c:pt idx="9">
                  <c:v>7315.310790939785</c:v>
                </c:pt>
                <c:pt idx="10">
                  <c:v>13677.14852135503</c:v>
                </c:pt>
              </c:numCache>
            </c:numRef>
          </c:val>
        </c:ser>
        <c:marker val="1"/>
        <c:axId val="83251584"/>
        <c:axId val="83205120"/>
      </c:lineChart>
      <c:catAx>
        <c:axId val="83106048"/>
        <c:scaling>
          <c:orientation val="minMax"/>
        </c:scaling>
        <c:axPos val="b"/>
        <c:tickLblPos val="nextTo"/>
        <c:crossAx val="83203584"/>
        <c:crosses val="autoZero"/>
        <c:auto val="1"/>
        <c:lblAlgn val="ctr"/>
        <c:lblOffset val="100"/>
      </c:catAx>
      <c:valAx>
        <c:axId val="83203584"/>
        <c:scaling>
          <c:orientation val="minMax"/>
        </c:scaling>
        <c:axPos val="l"/>
        <c:majorGridlines/>
        <c:numFmt formatCode="&quot;$&quot;#,##0_);\(&quot;$&quot;#,##0\)" sourceLinked="1"/>
        <c:tickLblPos val="nextTo"/>
        <c:crossAx val="83106048"/>
        <c:crosses val="autoZero"/>
        <c:crossBetween val="between"/>
      </c:valAx>
      <c:valAx>
        <c:axId val="83205120"/>
        <c:scaling>
          <c:orientation val="minMax"/>
        </c:scaling>
        <c:axPos val="r"/>
        <c:numFmt formatCode="&quot;$&quot;#,##0_);\(&quot;$&quot;#,##0\)" sourceLinked="1"/>
        <c:tickLblPos val="nextTo"/>
        <c:crossAx val="83251584"/>
        <c:crosses val="max"/>
        <c:crossBetween val="between"/>
      </c:valAx>
      <c:catAx>
        <c:axId val="83251584"/>
        <c:scaling>
          <c:orientation val="minMax"/>
        </c:scaling>
        <c:delete val="1"/>
        <c:axPos val="b"/>
        <c:tickLblPos val="nextTo"/>
        <c:crossAx val="8320512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38100</xdr:rowOff>
    </xdr:from>
    <xdr:to>
      <xdr:col>18</xdr:col>
      <xdr:colOff>466725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190499</xdr:rowOff>
    </xdr:from>
    <xdr:to>
      <xdr:col>18</xdr:col>
      <xdr:colOff>428624</xdr:colOff>
      <xdr:row>42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showGridLines="0" showRowColHeaders="0" tabSelected="1" workbookViewId="0">
      <selection activeCell="E12" sqref="E12"/>
    </sheetView>
  </sheetViews>
  <sheetFormatPr defaultRowHeight="15"/>
  <cols>
    <col min="2" max="2" width="22.85546875" customWidth="1"/>
    <col min="3" max="3" width="13.28515625" customWidth="1"/>
    <col min="4" max="12" width="12.140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thickBot="1">
      <c r="A2" s="3"/>
      <c r="B2" s="3"/>
      <c r="C2" s="3"/>
      <c r="D2" s="3"/>
      <c r="E2" s="4" t="s">
        <v>1</v>
      </c>
      <c r="F2" s="3"/>
      <c r="G2" s="3"/>
      <c r="H2" s="3"/>
      <c r="I2" s="3"/>
      <c r="J2" s="3"/>
      <c r="K2" s="3"/>
      <c r="L2" s="3"/>
    </row>
    <row r="3" spans="1:12" ht="15.75" thickTop="1">
      <c r="A3" s="51" t="s">
        <v>2</v>
      </c>
      <c r="B3" s="37"/>
      <c r="C3" s="38"/>
      <c r="D3" s="3"/>
      <c r="E3" s="51" t="s">
        <v>3</v>
      </c>
      <c r="F3" s="37"/>
      <c r="G3" s="56"/>
      <c r="H3" s="3"/>
      <c r="I3" s="51" t="s">
        <v>4</v>
      </c>
      <c r="J3" s="39"/>
      <c r="K3" s="61"/>
      <c r="L3" s="3"/>
    </row>
    <row r="4" spans="1:12">
      <c r="A4" s="42" t="s">
        <v>5</v>
      </c>
      <c r="B4" s="52"/>
      <c r="C4" s="34">
        <v>50000</v>
      </c>
      <c r="D4" s="3"/>
      <c r="E4" s="42" t="s">
        <v>6</v>
      </c>
      <c r="F4" s="40"/>
      <c r="G4" s="57">
        <v>40000</v>
      </c>
      <c r="H4" s="3"/>
      <c r="I4" s="46" t="s">
        <v>7</v>
      </c>
      <c r="J4" s="40"/>
      <c r="K4" s="59">
        <v>2</v>
      </c>
      <c r="L4" s="3"/>
    </row>
    <row r="5" spans="1:12">
      <c r="A5" s="42" t="s">
        <v>8</v>
      </c>
      <c r="B5" s="52"/>
      <c r="C5" s="34">
        <v>7484</v>
      </c>
      <c r="D5" s="3"/>
      <c r="E5" s="42" t="s">
        <v>9</v>
      </c>
      <c r="F5" s="40"/>
      <c r="G5" s="58">
        <v>0.5</v>
      </c>
      <c r="H5" s="3"/>
      <c r="I5" s="26" t="s">
        <v>10</v>
      </c>
      <c r="J5" s="40"/>
      <c r="K5" s="58">
        <v>0.1</v>
      </c>
      <c r="L5" s="3"/>
    </row>
    <row r="6" spans="1:12">
      <c r="A6" s="42" t="s">
        <v>11</v>
      </c>
      <c r="B6" s="52"/>
      <c r="C6" s="35">
        <v>10</v>
      </c>
      <c r="D6" s="3"/>
      <c r="E6" s="42" t="s">
        <v>12</v>
      </c>
      <c r="F6" s="40"/>
      <c r="G6" s="59">
        <v>0</v>
      </c>
      <c r="H6" s="3"/>
      <c r="I6" s="26" t="s">
        <v>13</v>
      </c>
      <c r="J6" s="40"/>
      <c r="K6" s="59">
        <v>0.9</v>
      </c>
      <c r="L6" s="3"/>
    </row>
    <row r="7" spans="1:12" ht="15.75" thickBot="1">
      <c r="A7" s="42" t="s">
        <v>14</v>
      </c>
      <c r="B7" s="52"/>
      <c r="C7" s="34">
        <v>5000</v>
      </c>
      <c r="D7" s="3"/>
      <c r="E7" s="53" t="s">
        <v>15</v>
      </c>
      <c r="F7" s="41"/>
      <c r="G7" s="60">
        <v>0.4</v>
      </c>
      <c r="H7" s="3"/>
      <c r="I7" s="26" t="s">
        <v>16</v>
      </c>
      <c r="J7" s="40"/>
      <c r="K7" s="62">
        <v>0.08</v>
      </c>
      <c r="L7" s="3"/>
    </row>
    <row r="8" spans="1:12" ht="15.75" thickTop="1">
      <c r="A8" s="42" t="s">
        <v>17</v>
      </c>
      <c r="B8" s="52"/>
      <c r="C8" s="35">
        <v>2</v>
      </c>
      <c r="D8" s="3"/>
      <c r="E8" s="63" t="s">
        <v>18</v>
      </c>
      <c r="F8" s="63"/>
      <c r="G8" s="64"/>
      <c r="H8" s="63"/>
      <c r="I8" s="26" t="s">
        <v>19</v>
      </c>
      <c r="J8" s="40"/>
      <c r="K8" s="62">
        <v>5.5E-2</v>
      </c>
      <c r="L8" s="3"/>
    </row>
    <row r="9" spans="1:12">
      <c r="A9" s="42" t="s">
        <v>20</v>
      </c>
      <c r="B9" s="52"/>
      <c r="C9" s="36">
        <v>0.1</v>
      </c>
      <c r="D9" s="3"/>
      <c r="E9" s="63" t="s">
        <v>21</v>
      </c>
      <c r="F9" s="63"/>
      <c r="G9" s="65"/>
      <c r="H9" s="63"/>
      <c r="I9" s="26" t="s">
        <v>22</v>
      </c>
      <c r="J9" s="40"/>
      <c r="K9" s="62">
        <v>0.3</v>
      </c>
      <c r="L9" s="3"/>
    </row>
    <row r="10" spans="1:12" ht="15.75" thickBot="1">
      <c r="A10" s="53" t="s">
        <v>23</v>
      </c>
      <c r="B10" s="54"/>
      <c r="C10" s="35">
        <v>0</v>
      </c>
      <c r="D10" s="3"/>
      <c r="E10" s="3"/>
      <c r="H10" s="3"/>
      <c r="I10" s="27" t="s">
        <v>24</v>
      </c>
      <c r="J10" s="47"/>
      <c r="K10" s="62">
        <v>0.09</v>
      </c>
      <c r="L10" s="3"/>
    </row>
    <row r="11" spans="1:12" ht="16.5" thickTop="1" thickBot="1">
      <c r="A11" s="3"/>
      <c r="B11" s="3"/>
      <c r="C11" s="9"/>
      <c r="D11" s="3"/>
      <c r="I11" s="48" t="s">
        <v>25</v>
      </c>
      <c r="J11" s="48"/>
      <c r="K11" s="10">
        <f>IF(K4=1,K5,(K7+K6*K8)*(1-K9)+K10*(1-G7)*K9)</f>
        <v>0.10685</v>
      </c>
      <c r="L11" s="3"/>
    </row>
    <row r="12" spans="1:12" ht="15.75" thickTop="1">
      <c r="A12" s="51" t="s">
        <v>26</v>
      </c>
      <c r="B12" s="37"/>
      <c r="C12" s="43"/>
      <c r="D12" s="3"/>
      <c r="J12" s="3"/>
      <c r="K12" s="3"/>
      <c r="L12" s="3"/>
    </row>
    <row r="13" spans="1:12">
      <c r="A13" s="42" t="s">
        <v>27</v>
      </c>
      <c r="B13" s="40"/>
      <c r="C13" s="34">
        <v>10000</v>
      </c>
      <c r="D13" s="3"/>
      <c r="J13" s="3"/>
      <c r="K13" s="3"/>
      <c r="L13" s="3"/>
    </row>
    <row r="14" spans="1:12">
      <c r="A14" s="42" t="s">
        <v>28</v>
      </c>
      <c r="B14" s="40"/>
      <c r="C14" s="36">
        <v>0.25</v>
      </c>
      <c r="D14" s="3"/>
      <c r="J14" s="3"/>
      <c r="K14" s="3"/>
      <c r="L14" s="3"/>
    </row>
    <row r="15" spans="1:12" ht="15.75" thickBot="1">
      <c r="A15" s="53" t="s">
        <v>29</v>
      </c>
      <c r="B15" s="41"/>
      <c r="C15" s="55">
        <v>1</v>
      </c>
      <c r="D15" s="3"/>
      <c r="J15" s="3"/>
      <c r="K15" s="3"/>
      <c r="L15" s="3"/>
    </row>
    <row r="16" spans="1:12" ht="15.75" thickTop="1"/>
    <row r="19" spans="1:12" ht="15.75" thickBot="1">
      <c r="A19" s="3"/>
      <c r="B19" s="3"/>
      <c r="C19" s="3"/>
      <c r="D19" s="3"/>
      <c r="E19" s="3"/>
      <c r="F19" s="3"/>
      <c r="G19" s="3"/>
      <c r="H19" s="3"/>
      <c r="J19" s="3"/>
      <c r="K19" s="3"/>
      <c r="L19" s="3"/>
    </row>
    <row r="20" spans="1:12" ht="15.75" thickTop="1">
      <c r="A20" s="51" t="s">
        <v>30</v>
      </c>
      <c r="B20" s="37"/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1:12">
      <c r="A21" s="11"/>
      <c r="B21" s="12"/>
      <c r="C21" s="44">
        <v>1</v>
      </c>
      <c r="D21" s="44">
        <v>2</v>
      </c>
      <c r="E21" s="44">
        <v>3</v>
      </c>
      <c r="F21" s="44">
        <v>4</v>
      </c>
      <c r="G21" s="44">
        <v>5</v>
      </c>
      <c r="H21" s="44">
        <v>6</v>
      </c>
      <c r="I21" s="44">
        <v>7</v>
      </c>
      <c r="J21" s="44">
        <v>8</v>
      </c>
      <c r="K21" s="44">
        <v>9</v>
      </c>
      <c r="L21" s="45">
        <v>10</v>
      </c>
    </row>
    <row r="22" spans="1:12" ht="15.75">
      <c r="A22" s="42" t="s">
        <v>31</v>
      </c>
      <c r="B22" s="40"/>
      <c r="C22" s="18" t="s">
        <v>32</v>
      </c>
      <c r="D22" s="16">
        <v>0.1</v>
      </c>
      <c r="E22" s="16">
        <v>0.1</v>
      </c>
      <c r="F22" s="16">
        <v>0.1</v>
      </c>
      <c r="G22" s="16">
        <v>0.1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</row>
    <row r="23" spans="1:12" ht="15.75">
      <c r="A23" s="42" t="s">
        <v>33</v>
      </c>
      <c r="B23" s="40"/>
      <c r="C23" s="18" t="s">
        <v>32</v>
      </c>
      <c r="D23" s="16">
        <f t="shared" ref="D23:L23" si="0">D22</f>
        <v>0.1</v>
      </c>
      <c r="E23" s="16">
        <f t="shared" si="0"/>
        <v>0.1</v>
      </c>
      <c r="F23" s="16">
        <f t="shared" si="0"/>
        <v>0.1</v>
      </c>
      <c r="G23" s="16">
        <f t="shared" si="0"/>
        <v>0.1</v>
      </c>
      <c r="H23" s="16">
        <f t="shared" si="0"/>
        <v>0</v>
      </c>
      <c r="I23" s="16">
        <f t="shared" si="0"/>
        <v>0</v>
      </c>
      <c r="J23" s="16">
        <f t="shared" si="0"/>
        <v>0</v>
      </c>
      <c r="K23" s="16">
        <f t="shared" si="0"/>
        <v>0</v>
      </c>
      <c r="L23" s="16">
        <f t="shared" si="0"/>
        <v>0</v>
      </c>
    </row>
    <row r="24" spans="1:12" ht="15.75" thickBot="1">
      <c r="A24" s="17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3"/>
    </row>
    <row r="25" spans="1:12" ht="15.75" thickTop="1"/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54"/>
  <sheetViews>
    <sheetView showGridLines="0" showRowColHeaders="0" topLeftCell="A22" zoomScale="110" zoomScaleNormal="110" workbookViewId="0">
      <selection activeCell="A22" sqref="A22"/>
    </sheetView>
  </sheetViews>
  <sheetFormatPr defaultRowHeight="15"/>
  <cols>
    <col min="1" max="1" width="45.85546875" customWidth="1"/>
    <col min="2" max="2" width="11.28515625" customWidth="1"/>
    <col min="3" max="3" width="12.5703125" bestFit="1" customWidth="1"/>
    <col min="4" max="12" width="11.28515625" customWidth="1"/>
  </cols>
  <sheetData>
    <row r="3" spans="1:12" ht="20.25">
      <c r="A3" s="3"/>
      <c r="B3" s="4"/>
      <c r="C3" s="4"/>
      <c r="D3" s="67" t="s">
        <v>35</v>
      </c>
      <c r="E3" s="67"/>
      <c r="F3" s="67"/>
      <c r="G3" s="67"/>
      <c r="H3" s="67"/>
      <c r="I3" s="4"/>
      <c r="J3" s="4"/>
      <c r="K3" s="4"/>
      <c r="L3" s="4"/>
    </row>
    <row r="4" spans="1:12">
      <c r="A4" s="3"/>
      <c r="B4" s="33">
        <v>0</v>
      </c>
      <c r="C4" s="33">
        <v>1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</row>
    <row r="5" spans="1:12">
      <c r="A5" s="30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29" t="s">
        <v>36</v>
      </c>
      <c r="B6" s="20">
        <f>'Input Sheet'!C4</f>
        <v>50000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29" t="s">
        <v>37</v>
      </c>
      <c r="B7" s="20">
        <f>'Input Sheet'!C4*'Input Sheet'!C9</f>
        <v>5000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29" t="s">
        <v>38</v>
      </c>
      <c r="B8" s="20">
        <f>B6-B7</f>
        <v>45000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29" t="s">
        <v>39</v>
      </c>
      <c r="B9" s="20">
        <f>'Input Sheet'!C13</f>
        <v>10000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29" t="s">
        <v>40</v>
      </c>
      <c r="B10" s="20">
        <f>'Input Sheet'!C5</f>
        <v>7484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29" t="s">
        <v>41</v>
      </c>
      <c r="B11" s="20">
        <f>'Input Sheet'!C10</f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29" t="s">
        <v>42</v>
      </c>
      <c r="B12" s="20">
        <f>B8+B9+B10+B11</f>
        <v>62484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2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28" t="s">
        <v>44</v>
      </c>
      <c r="B15" s="3"/>
      <c r="C15" s="20">
        <f>IF(C4='Input Sheet'!$C$6,'Input Sheet'!$C$7,0)</f>
        <v>0</v>
      </c>
      <c r="D15" s="20">
        <f>IF(D4='Input Sheet'!$C$6,'Input Sheet'!$C$7,0)</f>
        <v>0</v>
      </c>
      <c r="E15" s="20">
        <f>IF(E4='Input Sheet'!$C$6,'Input Sheet'!$C$7,0)</f>
        <v>0</v>
      </c>
      <c r="F15" s="20">
        <f>IF(F4='Input Sheet'!$C$6,'Input Sheet'!$C$7,0)</f>
        <v>0</v>
      </c>
      <c r="G15" s="20">
        <f>IF(G4='Input Sheet'!$C$6,'Input Sheet'!$C$7,0)</f>
        <v>0</v>
      </c>
      <c r="H15" s="20">
        <f>IF(H4='Input Sheet'!$C$6,'Input Sheet'!$C$7,0)</f>
        <v>0</v>
      </c>
      <c r="I15" s="20">
        <f>IF(I4='Input Sheet'!$C$6,'Input Sheet'!$C$7,0)</f>
        <v>0</v>
      </c>
      <c r="J15" s="20">
        <f>IF(J4='Input Sheet'!$C$6,'Input Sheet'!$C$7,0)</f>
        <v>0</v>
      </c>
      <c r="K15" s="20">
        <f>IF(K4='Input Sheet'!$C$6,'Input Sheet'!$C$7,0)</f>
        <v>0</v>
      </c>
      <c r="L15" s="20">
        <f>IF(L4='Input Sheet'!$C$6,'Input Sheet'!$C$7,0)</f>
        <v>5000</v>
      </c>
    </row>
    <row r="16" spans="1:12">
      <c r="A16" s="28" t="s">
        <v>45</v>
      </c>
      <c r="B16" s="3"/>
      <c r="C16" s="20">
        <f>IF(C4='Input Sheet'!$C$6,('Input Sheet'!$C$13+SUM('Cap Budg'!$C$29:$L$29))*'Input Sheet'!$C$15,0)</f>
        <v>0</v>
      </c>
      <c r="D16" s="20">
        <f>IF(D4='Input Sheet'!$C$6,('Input Sheet'!$C$13+SUM('Cap Budg'!$C$29:$L$29))*'Input Sheet'!$C$15,0)</f>
        <v>0</v>
      </c>
      <c r="E16" s="20">
        <f>IF(E4='Input Sheet'!$C$6,('Input Sheet'!$C$13+SUM('Cap Budg'!$C$29:$L$29))*'Input Sheet'!$C$15,0)</f>
        <v>0</v>
      </c>
      <c r="F16" s="20">
        <f>IF(F4='Input Sheet'!$C$6,('Input Sheet'!$C$13+SUM('Cap Budg'!$C$29:$L$29))*'Input Sheet'!$C$15,0)</f>
        <v>0</v>
      </c>
      <c r="G16" s="20">
        <f>IF(G4='Input Sheet'!$C$6,('Input Sheet'!$C$13+SUM('Cap Budg'!$C$29:$L$29))*'Input Sheet'!$C$15,0)</f>
        <v>0</v>
      </c>
      <c r="H16" s="20">
        <f>IF(H4='Input Sheet'!$C$6,('Input Sheet'!$C$13+SUM('Cap Budg'!$C$29:$L$29))*'Input Sheet'!$C$15,0)</f>
        <v>0</v>
      </c>
      <c r="I16" s="20">
        <f>IF(I4='Input Sheet'!$C$6,('Input Sheet'!$C$13+SUM('Cap Budg'!$C$29:$L$29))*'Input Sheet'!$C$15,0)</f>
        <v>0</v>
      </c>
      <c r="J16" s="20">
        <f>IF(J4='Input Sheet'!$C$6,('Input Sheet'!$C$13+SUM('Cap Budg'!$C$29:$L$29))*'Input Sheet'!$C$15,0)</f>
        <v>0</v>
      </c>
      <c r="K16" s="20">
        <f>IF(K4='Input Sheet'!$C$6,('Input Sheet'!$C$13+SUM('Cap Budg'!$C$29:$L$29))*'Input Sheet'!$C$15,0)</f>
        <v>0</v>
      </c>
      <c r="L16" s="20">
        <f>IF(L4='Input Sheet'!C6,('Input Sheet'!C13+SUM('Cap Budg'!C29:L29))*'Input Sheet'!C15,0)</f>
        <v>14641.000000000005</v>
      </c>
    </row>
    <row r="17" spans="1:12" ht="15.75" thickBo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1" t="s">
        <v>46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</row>
    <row r="19" spans="1:12">
      <c r="A19" s="26" t="s">
        <v>47</v>
      </c>
      <c r="B19" s="7"/>
      <c r="C19" s="21">
        <f>IF(C4&gt;'Input Sheet'!$C$6,0,1)</f>
        <v>1</v>
      </c>
      <c r="D19" s="21">
        <f>IF(D4&gt;'Input Sheet'!$C$6,0,1)</f>
        <v>1</v>
      </c>
      <c r="E19" s="21">
        <f>IF(E4&gt;'Input Sheet'!$C$6,0,1)</f>
        <v>1</v>
      </c>
      <c r="F19" s="21">
        <f>IF(F4&gt;'Input Sheet'!$C$6,0,1)</f>
        <v>1</v>
      </c>
      <c r="G19" s="21">
        <f>IF(G4&gt;'Input Sheet'!$C$6,0,1)</f>
        <v>1</v>
      </c>
      <c r="H19" s="21">
        <f>IF(H4&gt;'Input Sheet'!$C$6,0,1)</f>
        <v>1</v>
      </c>
      <c r="I19" s="21">
        <f>IF(I4&gt;'Input Sheet'!$C$6,0,1)</f>
        <v>1</v>
      </c>
      <c r="J19" s="21">
        <f>IF(J4&gt;'Input Sheet'!$C$6,0,1)</f>
        <v>1</v>
      </c>
      <c r="K19" s="21">
        <f>IF(K4&gt;'Input Sheet'!$C$6,0,1)</f>
        <v>1</v>
      </c>
      <c r="L19" s="21">
        <f>IF(L4&gt;'Input Sheet'!$C$6,0,1)</f>
        <v>1</v>
      </c>
    </row>
    <row r="20" spans="1:12">
      <c r="A20" s="26" t="s">
        <v>31</v>
      </c>
      <c r="B20" s="14"/>
      <c r="C20" s="20">
        <f>'Input Sheet'!G4</f>
        <v>40000</v>
      </c>
      <c r="D20" s="20">
        <f>C20*(1+'Input Sheet'!D22)*D19</f>
        <v>44000</v>
      </c>
      <c r="E20" s="20">
        <f>D20*(1+'Input Sheet'!E22)*E19</f>
        <v>48400.000000000007</v>
      </c>
      <c r="F20" s="20">
        <f>E20*(1+'Input Sheet'!F22)*F19</f>
        <v>53240.000000000015</v>
      </c>
      <c r="G20" s="20">
        <f>F20*(1+'Input Sheet'!G22)*G19</f>
        <v>58564.000000000022</v>
      </c>
      <c r="H20" s="20">
        <f>G20*(1+'Input Sheet'!H22)*H19</f>
        <v>58564.000000000022</v>
      </c>
      <c r="I20" s="20">
        <f>H20*(1+'Input Sheet'!I22)*I19</f>
        <v>58564.000000000022</v>
      </c>
      <c r="J20" s="20">
        <f>I20*(1+'Input Sheet'!J22)*J19</f>
        <v>58564.000000000022</v>
      </c>
      <c r="K20" s="20">
        <f>J20*(1+'Input Sheet'!K22)*K19</f>
        <v>58564.000000000022</v>
      </c>
      <c r="L20" s="20">
        <f>K20*(1+'Input Sheet'!L22)*L19</f>
        <v>58564.000000000022</v>
      </c>
    </row>
    <row r="21" spans="1:12">
      <c r="A21" s="26" t="s">
        <v>48</v>
      </c>
      <c r="B21" s="14"/>
      <c r="C21" s="20">
        <f>C20*'Input Sheet'!$G$5</f>
        <v>20000</v>
      </c>
      <c r="D21" s="20">
        <f>D20*'Input Sheet'!$G$5</f>
        <v>22000</v>
      </c>
      <c r="E21" s="20">
        <f>E20*'Input Sheet'!$G$5</f>
        <v>24200.000000000004</v>
      </c>
      <c r="F21" s="20">
        <f>F20*'Input Sheet'!$G$5</f>
        <v>26620.000000000007</v>
      </c>
      <c r="G21" s="20">
        <f>G20*'Input Sheet'!$G$5</f>
        <v>29282.000000000011</v>
      </c>
      <c r="H21" s="20">
        <f>H20*'Input Sheet'!$G$5</f>
        <v>29282.000000000011</v>
      </c>
      <c r="I21" s="20">
        <f>I20*'Input Sheet'!$G$5</f>
        <v>29282.000000000011</v>
      </c>
      <c r="J21" s="20">
        <f>J20*'Input Sheet'!$G$5</f>
        <v>29282.000000000011</v>
      </c>
      <c r="K21" s="20">
        <f>K20*'Input Sheet'!$G$5</f>
        <v>29282.000000000011</v>
      </c>
      <c r="L21" s="20">
        <f>L20*'Input Sheet'!$G$5</f>
        <v>29282.000000000011</v>
      </c>
    </row>
    <row r="22" spans="1:12">
      <c r="A22" s="26" t="s">
        <v>49</v>
      </c>
      <c r="B22" s="14"/>
      <c r="C22" s="20">
        <f>'Input Sheet'!G6</f>
        <v>0</v>
      </c>
      <c r="D22" s="20">
        <f>C22*(1+'Input Sheet'!D23)*D19</f>
        <v>0</v>
      </c>
      <c r="E22" s="20">
        <f>D22*(1+'Input Sheet'!E23)*E19</f>
        <v>0</v>
      </c>
      <c r="F22" s="20">
        <f>E22*(1+'Input Sheet'!F23)*F19</f>
        <v>0</v>
      </c>
      <c r="G22" s="20">
        <f>F22*(1+'Input Sheet'!G23)*G19</f>
        <v>0</v>
      </c>
      <c r="H22" s="20">
        <f>G22*(1+'Input Sheet'!H23)*H19</f>
        <v>0</v>
      </c>
      <c r="I22" s="20">
        <f>H22*(1+'Input Sheet'!I23)*I19</f>
        <v>0</v>
      </c>
      <c r="J22" s="20">
        <f>I22*(1+'Input Sheet'!J23)*J19</f>
        <v>0</v>
      </c>
      <c r="K22" s="20">
        <f>J22*(1+'Input Sheet'!K23)*K19</f>
        <v>0</v>
      </c>
      <c r="L22" s="20">
        <f>K22*(1+'Input Sheet'!L23)*L19</f>
        <v>0</v>
      </c>
    </row>
    <row r="23" spans="1:12">
      <c r="A23" s="26" t="s">
        <v>50</v>
      </c>
      <c r="B23" s="14"/>
      <c r="C23" s="20">
        <f t="shared" ref="C23:L23" si="0">C20-C21-C22</f>
        <v>20000</v>
      </c>
      <c r="D23" s="20">
        <f t="shared" si="0"/>
        <v>22000</v>
      </c>
      <c r="E23" s="20">
        <f t="shared" si="0"/>
        <v>24200.000000000004</v>
      </c>
      <c r="F23" s="20">
        <f t="shared" si="0"/>
        <v>26620.000000000007</v>
      </c>
      <c r="G23" s="20">
        <f t="shared" si="0"/>
        <v>29282.000000000011</v>
      </c>
      <c r="H23" s="20">
        <f t="shared" si="0"/>
        <v>29282.000000000011</v>
      </c>
      <c r="I23" s="20">
        <f t="shared" si="0"/>
        <v>29282.000000000011</v>
      </c>
      <c r="J23" s="20">
        <f t="shared" si="0"/>
        <v>29282.000000000011</v>
      </c>
      <c r="K23" s="20">
        <f t="shared" si="0"/>
        <v>29282.000000000011</v>
      </c>
      <c r="L23" s="20">
        <f t="shared" si="0"/>
        <v>29282.000000000011</v>
      </c>
    </row>
    <row r="24" spans="1:12">
      <c r="A24" s="26" t="s">
        <v>51</v>
      </c>
      <c r="B24" s="14"/>
      <c r="C24" s="20">
        <f t="shared" ref="C24:L24" si="1">C49</f>
        <v>10000</v>
      </c>
      <c r="D24" s="20">
        <f t="shared" si="1"/>
        <v>8000</v>
      </c>
      <c r="E24" s="20">
        <f t="shared" si="1"/>
        <v>6400.0000000000018</v>
      </c>
      <c r="F24" s="20">
        <f t="shared" si="1"/>
        <v>5120.0000000000018</v>
      </c>
      <c r="G24" s="20">
        <f t="shared" si="1"/>
        <v>4096.0000000000027</v>
      </c>
      <c r="H24" s="20">
        <f t="shared" si="1"/>
        <v>3276.8000000000025</v>
      </c>
      <c r="I24" s="20">
        <f t="shared" si="1"/>
        <v>2621.4400000000019</v>
      </c>
      <c r="J24" s="20">
        <f t="shared" si="1"/>
        <v>2097.1520000000014</v>
      </c>
      <c r="K24" s="20">
        <f t="shared" si="1"/>
        <v>1677.7216000000017</v>
      </c>
      <c r="L24" s="20">
        <f t="shared" si="1"/>
        <v>1342.1772800000012</v>
      </c>
    </row>
    <row r="25" spans="1:12">
      <c r="A25" s="26" t="s">
        <v>52</v>
      </c>
      <c r="B25" s="14"/>
      <c r="C25" s="20">
        <f>C23-C24</f>
        <v>10000</v>
      </c>
      <c r="D25" s="20">
        <f t="shared" ref="D25:L25" si="2">D23-D24</f>
        <v>14000</v>
      </c>
      <c r="E25" s="20">
        <f t="shared" si="2"/>
        <v>17800</v>
      </c>
      <c r="F25" s="20">
        <f t="shared" si="2"/>
        <v>21500.000000000007</v>
      </c>
      <c r="G25" s="20">
        <f t="shared" si="2"/>
        <v>25186.000000000007</v>
      </c>
      <c r="H25" s="20">
        <f t="shared" si="2"/>
        <v>26005.200000000008</v>
      </c>
      <c r="I25" s="20">
        <f t="shared" si="2"/>
        <v>26660.560000000009</v>
      </c>
      <c r="J25" s="20">
        <f t="shared" si="2"/>
        <v>27184.848000000009</v>
      </c>
      <c r="K25" s="20">
        <f t="shared" si="2"/>
        <v>27604.27840000001</v>
      </c>
      <c r="L25" s="20">
        <f t="shared" si="2"/>
        <v>27939.822720000011</v>
      </c>
    </row>
    <row r="26" spans="1:12">
      <c r="A26" s="26" t="s">
        <v>53</v>
      </c>
      <c r="B26" s="14"/>
      <c r="C26" s="20">
        <f>C25*'Input Sheet'!$G$7</f>
        <v>4000</v>
      </c>
      <c r="D26" s="20">
        <f>D25*'Input Sheet'!$G$7</f>
        <v>5600</v>
      </c>
      <c r="E26" s="20">
        <f>E25*'Input Sheet'!$G$7</f>
        <v>7120</v>
      </c>
      <c r="F26" s="20">
        <f>F25*'Input Sheet'!$G$7</f>
        <v>8600.0000000000036</v>
      </c>
      <c r="G26" s="20">
        <f>G25*'Input Sheet'!$G$7</f>
        <v>10074.400000000003</v>
      </c>
      <c r="H26" s="20">
        <f>H25*'Input Sheet'!$G$7</f>
        <v>10402.080000000004</v>
      </c>
      <c r="I26" s="20">
        <f>I25*'Input Sheet'!$G$7</f>
        <v>10664.224000000004</v>
      </c>
      <c r="J26" s="20">
        <f>J25*'Input Sheet'!$G$7</f>
        <v>10873.939200000004</v>
      </c>
      <c r="K26" s="20">
        <f>K25*'Input Sheet'!$G$7</f>
        <v>11041.711360000005</v>
      </c>
      <c r="L26" s="20">
        <f>L25*'Input Sheet'!$G$7</f>
        <v>11175.929088000004</v>
      </c>
    </row>
    <row r="27" spans="1:12">
      <c r="A27" s="26" t="s">
        <v>54</v>
      </c>
      <c r="B27" s="14"/>
      <c r="C27" s="20">
        <f t="shared" ref="C27:L27" si="3">C25-C26</f>
        <v>6000</v>
      </c>
      <c r="D27" s="20">
        <f t="shared" si="3"/>
        <v>8400</v>
      </c>
      <c r="E27" s="20">
        <f t="shared" si="3"/>
        <v>10680</v>
      </c>
      <c r="F27" s="20">
        <f t="shared" si="3"/>
        <v>12900.000000000004</v>
      </c>
      <c r="G27" s="20">
        <f t="shared" si="3"/>
        <v>15111.600000000004</v>
      </c>
      <c r="H27" s="20">
        <f t="shared" si="3"/>
        <v>15603.120000000004</v>
      </c>
      <c r="I27" s="20">
        <f t="shared" si="3"/>
        <v>15996.336000000005</v>
      </c>
      <c r="J27" s="20">
        <f t="shared" si="3"/>
        <v>16310.908800000005</v>
      </c>
      <c r="K27" s="20">
        <f t="shared" si="3"/>
        <v>16562.567040000005</v>
      </c>
      <c r="L27" s="20">
        <f t="shared" si="3"/>
        <v>16763.893632000007</v>
      </c>
    </row>
    <row r="28" spans="1:12">
      <c r="A28" s="26" t="s">
        <v>55</v>
      </c>
      <c r="B28" s="14"/>
      <c r="C28" s="20">
        <f t="shared" ref="C28:L28" si="4">C24</f>
        <v>10000</v>
      </c>
      <c r="D28" s="20">
        <f t="shared" si="4"/>
        <v>8000</v>
      </c>
      <c r="E28" s="20">
        <f t="shared" si="4"/>
        <v>6400.0000000000018</v>
      </c>
      <c r="F28" s="20">
        <f t="shared" si="4"/>
        <v>5120.0000000000018</v>
      </c>
      <c r="G28" s="20">
        <f t="shared" si="4"/>
        <v>4096.0000000000027</v>
      </c>
      <c r="H28" s="20">
        <f t="shared" si="4"/>
        <v>3276.8000000000025</v>
      </c>
      <c r="I28" s="20">
        <f t="shared" si="4"/>
        <v>2621.4400000000019</v>
      </c>
      <c r="J28" s="20">
        <f t="shared" si="4"/>
        <v>2097.1520000000014</v>
      </c>
      <c r="K28" s="20">
        <f t="shared" si="4"/>
        <v>1677.7216000000017</v>
      </c>
      <c r="L28" s="20">
        <f t="shared" si="4"/>
        <v>1342.1772800000012</v>
      </c>
    </row>
    <row r="29" spans="1:12">
      <c r="A29" s="26" t="s">
        <v>56</v>
      </c>
      <c r="B29" s="14"/>
      <c r="C29" s="20">
        <f>('Input Sheet'!$C$14*C20-$B$9)*C19</f>
        <v>0</v>
      </c>
      <c r="D29" s="20">
        <f>('Input Sheet'!$C$14*D20-$B$9)*D19</f>
        <v>1000</v>
      </c>
      <c r="E29" s="20">
        <f>('Input Sheet'!C14*'Cap Budg'!E20-'Cap Budg'!B9)-SUM(C29:D29)*'Cap Budg'!E19</f>
        <v>1100.0000000000018</v>
      </c>
      <c r="F29" s="20">
        <f>'Input Sheet'!$C$14*'Cap Budg'!F20-'Cap Budg'!$B$9-SUM('Cap Budg'!C29:E29)*'Cap Budg'!F19</f>
        <v>1210.0000000000018</v>
      </c>
      <c r="G29" s="20">
        <f>'Input Sheet'!$C$14*'Cap Budg'!G20-'Cap Budg'!$B$9-SUM('Cap Budg'!C29:F29)*'Cap Budg'!G19</f>
        <v>1331.0000000000018</v>
      </c>
      <c r="H29" s="20">
        <f>'Input Sheet'!$C$14*'Cap Budg'!H20-'Cap Budg'!$B$9-SUM('Cap Budg'!C29:G29)*'Cap Budg'!H19</f>
        <v>0</v>
      </c>
      <c r="I29" s="20">
        <f>'Input Sheet'!$C$14*'Cap Budg'!I20-'Cap Budg'!$B$9-SUM('Cap Budg'!C29:H29)*'Cap Budg'!I19</f>
        <v>0</v>
      </c>
      <c r="J29" s="20">
        <f>'Input Sheet'!$C$14*'Cap Budg'!J20-'Cap Budg'!$B$9-SUM('Cap Budg'!C29:I29)*'Cap Budg'!J19</f>
        <v>0</v>
      </c>
      <c r="K29" s="20">
        <f>'Input Sheet'!$C$14*'Cap Budg'!K20-'Cap Budg'!$B$9-SUM('Cap Budg'!C29:J29)*'Cap Budg'!K19</f>
        <v>0</v>
      </c>
      <c r="L29" s="20">
        <f>'Input Sheet'!$C$14*'Cap Budg'!L20-'Cap Budg'!$B$9-SUM('Cap Budg'!C29:K29)*'Cap Budg'!L19</f>
        <v>0</v>
      </c>
    </row>
    <row r="30" spans="1:12">
      <c r="A30" s="26" t="s">
        <v>69</v>
      </c>
      <c r="B30" s="20">
        <f>0-B12</f>
        <v>-62484</v>
      </c>
      <c r="C30" s="20">
        <f>C27+C28-C29</f>
        <v>16000</v>
      </c>
      <c r="D30" s="20">
        <f t="shared" ref="D30:L30" si="5">D27+D28-D29</f>
        <v>15400</v>
      </c>
      <c r="E30" s="20">
        <f t="shared" si="5"/>
        <v>15979.999999999998</v>
      </c>
      <c r="F30" s="20">
        <f t="shared" si="5"/>
        <v>16810.000000000007</v>
      </c>
      <c r="G30" s="20">
        <f t="shared" si="5"/>
        <v>17876.600000000006</v>
      </c>
      <c r="H30" s="20">
        <f t="shared" si="5"/>
        <v>18879.920000000006</v>
      </c>
      <c r="I30" s="20">
        <f t="shared" si="5"/>
        <v>18617.776000000005</v>
      </c>
      <c r="J30" s="20">
        <f t="shared" si="5"/>
        <v>18408.060800000007</v>
      </c>
      <c r="K30" s="20">
        <f t="shared" si="5"/>
        <v>18240.288640000006</v>
      </c>
      <c r="L30" s="20">
        <f t="shared" si="5"/>
        <v>18106.070912000007</v>
      </c>
    </row>
    <row r="31" spans="1:12">
      <c r="A31" s="26" t="s">
        <v>57</v>
      </c>
      <c r="B31" s="21">
        <f>1</f>
        <v>1</v>
      </c>
      <c r="C31" s="21">
        <f>C19*(1+'Input Sheet'!$K$11)^C4</f>
        <v>1.1068500000000001</v>
      </c>
      <c r="D31" s="21">
        <f>D19*(1+'Input Sheet'!$K$11)^D4</f>
        <v>1.2251169225000003</v>
      </c>
      <c r="E31" s="21">
        <f>E19*(1+'Input Sheet'!$K$11)^E4</f>
        <v>1.3560206656691254</v>
      </c>
      <c r="F31" s="21">
        <f>F19*(1+'Input Sheet'!$K$11)^F4</f>
        <v>1.5009114737958718</v>
      </c>
      <c r="G31" s="21">
        <f>G19*(1+'Input Sheet'!$K$11)^G4</f>
        <v>1.6612838647709609</v>
      </c>
      <c r="H31" s="21">
        <f>H19*(1+'Input Sheet'!$K$11)^H4</f>
        <v>1.8387920457217382</v>
      </c>
      <c r="I31" s="21">
        <f>I19*(1+'Input Sheet'!$K$11)^I4</f>
        <v>2.0352669758071062</v>
      </c>
      <c r="J31" s="21">
        <f>J19*(1+'Input Sheet'!$K$11)^J4</f>
        <v>2.252735252172096</v>
      </c>
      <c r="K31" s="21">
        <f>K19*(1+'Input Sheet'!$K$11)^K4</f>
        <v>2.4934400138666848</v>
      </c>
      <c r="L31" s="21">
        <f>L19*(1+'Input Sheet'!$K$11)^L4</f>
        <v>2.7598640793483402</v>
      </c>
    </row>
    <row r="32" spans="1:12" ht="15.75" thickBot="1">
      <c r="A32" s="27" t="s">
        <v>58</v>
      </c>
      <c r="B32" s="20">
        <f>0-B12</f>
        <v>-62484</v>
      </c>
      <c r="C32" s="20">
        <f>(C30+C15+C16)/(1+'Input Sheet'!$K$11)^C4</f>
        <v>14455.436599358538</v>
      </c>
      <c r="D32" s="20">
        <f>(D30+D15+D16)/(1+'Input Sheet'!$K$11)^D4</f>
        <v>12570.228781571659</v>
      </c>
      <c r="E32" s="20">
        <f>(E30+E15+E16)/(1+'Input Sheet'!$K$11)^E4</f>
        <v>11784.481169477385</v>
      </c>
      <c r="F32" s="20">
        <f>(F30+F15+F16)/(1+'Input Sheet'!$K$11)^F4</f>
        <v>11199.861080072078</v>
      </c>
      <c r="G32" s="20">
        <f>(G30+G15+G16)/(1+'Input Sheet'!$K$11)^G4</f>
        <v>10760.713673978065</v>
      </c>
      <c r="H32" s="20">
        <f>(H30+H15+H16)/(1+'Input Sheet'!$K$11)^H4</f>
        <v>10267.566712574891</v>
      </c>
      <c r="I32" s="20">
        <f>(I30+I15+I16)/(1+'Input Sheet'!$K$11)^I4</f>
        <v>9147.5841849283352</v>
      </c>
      <c r="J32" s="20">
        <f>(J30+J15+J16)/(1+'Input Sheet'!$K$11)^J4</f>
        <v>8171.4266167100122</v>
      </c>
      <c r="K32" s="20">
        <f>(K30+K15+K16)/(1+'Input Sheet'!$K$11)^K4</f>
        <v>7315.310790939785</v>
      </c>
      <c r="L32" s="20">
        <f>(L30+L15+L16)/(1+'Input Sheet'!$K$11)^L4</f>
        <v>13677.14852135503</v>
      </c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0" t="s">
        <v>67</v>
      </c>
      <c r="B36" s="20">
        <f>B32</f>
        <v>-62484</v>
      </c>
      <c r="C36" s="20">
        <f t="shared" ref="C36:L36" si="6">B36+C32</f>
        <v>-48028.563400641462</v>
      </c>
      <c r="D36" s="20">
        <f t="shared" si="6"/>
        <v>-35458.334619069807</v>
      </c>
      <c r="E36" s="20">
        <f t="shared" si="6"/>
        <v>-23673.853449592421</v>
      </c>
      <c r="F36" s="20">
        <f t="shared" si="6"/>
        <v>-12473.992369520343</v>
      </c>
      <c r="G36" s="20">
        <f t="shared" si="6"/>
        <v>-1713.278695542278</v>
      </c>
      <c r="H36" s="20">
        <f t="shared" si="6"/>
        <v>8554.2880170326134</v>
      </c>
      <c r="I36" s="20">
        <f t="shared" si="6"/>
        <v>17701.872201960949</v>
      </c>
      <c r="J36" s="20">
        <f t="shared" si="6"/>
        <v>25873.298818670963</v>
      </c>
      <c r="K36" s="20">
        <f t="shared" si="6"/>
        <v>33188.60960961075</v>
      </c>
      <c r="L36" s="20">
        <f t="shared" si="6"/>
        <v>46865.758130965783</v>
      </c>
    </row>
    <row r="37" spans="1:12">
      <c r="A37" s="3" t="s">
        <v>68</v>
      </c>
      <c r="B37" s="66">
        <f>B30</f>
        <v>-62484</v>
      </c>
      <c r="C37" s="66">
        <f>B37+C30</f>
        <v>-46484</v>
      </c>
      <c r="D37" s="66">
        <f t="shared" ref="D37:L37" si="7">C37+D30</f>
        <v>-31084</v>
      </c>
      <c r="E37" s="66">
        <f t="shared" si="7"/>
        <v>-15104.000000000002</v>
      </c>
      <c r="F37" s="66">
        <f t="shared" si="7"/>
        <v>1706.0000000000055</v>
      </c>
      <c r="G37" s="66">
        <f t="shared" si="7"/>
        <v>19582.600000000013</v>
      </c>
      <c r="H37" s="66">
        <f t="shared" si="7"/>
        <v>38462.520000000019</v>
      </c>
      <c r="I37" s="66">
        <f t="shared" si="7"/>
        <v>57080.296000000024</v>
      </c>
      <c r="J37" s="66">
        <f t="shared" si="7"/>
        <v>75488.356800000038</v>
      </c>
      <c r="K37" s="66">
        <f t="shared" si="7"/>
        <v>93728.645440000051</v>
      </c>
      <c r="L37" s="66">
        <f t="shared" si="7"/>
        <v>111834.71635200006</v>
      </c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thickTop="1">
      <c r="A41" s="3"/>
      <c r="B41" s="22" t="s">
        <v>59</v>
      </c>
      <c r="C41" s="2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24" t="s">
        <v>60</v>
      </c>
      <c r="C42" s="20">
        <f>SUM(B32:L32)</f>
        <v>46865.758130965783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24" t="s">
        <v>61</v>
      </c>
      <c r="C43" s="15">
        <f>IRR(B30:L30,'Input Sheet'!K11)</f>
        <v>0.23692695640044681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ht="15.75" thickBot="1">
      <c r="A44" s="3"/>
      <c r="B44" s="25" t="s">
        <v>62</v>
      </c>
      <c r="C44" s="15">
        <f>SUM(C27:L27)/SUM(B50:K50)</f>
        <v>0.60194730120250595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ht="15.75" thickTop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2" t="s">
        <v>63</v>
      </c>
      <c r="F47" s="32"/>
      <c r="G47" s="32"/>
      <c r="H47" s="3"/>
      <c r="I47" s="3"/>
      <c r="J47" s="3"/>
      <c r="K47" s="3"/>
      <c r="L47" s="3"/>
    </row>
    <row r="48" spans="1:12">
      <c r="A48" s="28" t="s">
        <v>64</v>
      </c>
      <c r="B48" s="3"/>
      <c r="C48" s="20">
        <f>'Input Sheet'!C4</f>
        <v>50000</v>
      </c>
      <c r="D48" s="20">
        <f t="shared" ref="D48:L48" si="8">(C48-C49)*D19</f>
        <v>40000</v>
      </c>
      <c r="E48" s="20">
        <f t="shared" si="8"/>
        <v>32000</v>
      </c>
      <c r="F48" s="20">
        <f t="shared" si="8"/>
        <v>25600</v>
      </c>
      <c r="G48" s="20">
        <f t="shared" si="8"/>
        <v>20480</v>
      </c>
      <c r="H48" s="20">
        <f t="shared" si="8"/>
        <v>16383.999999999996</v>
      </c>
      <c r="I48" s="20">
        <f t="shared" si="8"/>
        <v>13107.199999999993</v>
      </c>
      <c r="J48" s="20">
        <f t="shared" si="8"/>
        <v>10485.759999999991</v>
      </c>
      <c r="K48" s="20">
        <f t="shared" si="8"/>
        <v>8388.6079999999893</v>
      </c>
      <c r="L48" s="20">
        <f t="shared" si="8"/>
        <v>6710.8863999999876</v>
      </c>
    </row>
    <row r="49" spans="1:12">
      <c r="A49" s="28" t="s">
        <v>65</v>
      </c>
      <c r="B49" s="3"/>
      <c r="C49" s="20">
        <f>IF('Input Sheet'!$C$8=1,(('Input Sheet'!$C$4-'Input Sheet'!$C$7)/'Input Sheet'!$C$6)*D19,DDB('Input Sheet'!$C$4,'Input Sheet'!$C$7,'Input Sheet'!$C$6,'Cap Budg'!C4,2))</f>
        <v>10000</v>
      </c>
      <c r="D49" s="20">
        <f>IF('Input Sheet'!$C$8=1,(('Input Sheet'!$C$4-'Input Sheet'!$C$7)/'Input Sheet'!$C$6)*E19,DDB('Input Sheet'!$C$4,'Input Sheet'!$C$7,'Input Sheet'!$C$6,'Cap Budg'!D4,2))</f>
        <v>8000</v>
      </c>
      <c r="E49" s="20">
        <f>IF('Input Sheet'!$C$8=1,(('Input Sheet'!$C$4-'Input Sheet'!$C$7)/'Input Sheet'!$C$6)*F19,DDB('Input Sheet'!$C$4,'Input Sheet'!$C$7,'Input Sheet'!$C$6,'Cap Budg'!E4,2))</f>
        <v>6400.0000000000018</v>
      </c>
      <c r="F49" s="20">
        <f>IF('Input Sheet'!$C$8=1,(('Input Sheet'!$C$4-'Input Sheet'!$C$7)/'Input Sheet'!$C$6)*G19,DDB('Input Sheet'!$C$4,'Input Sheet'!$C$7,'Input Sheet'!$C$6,'Cap Budg'!F4,2))</f>
        <v>5120.0000000000018</v>
      </c>
      <c r="G49" s="20">
        <f>IF('Input Sheet'!$C$8=1,(('Input Sheet'!$C$4-'Input Sheet'!$C$7)/'Input Sheet'!$C$6)*H19,DDB('Input Sheet'!$C$4,'Input Sheet'!$C$7,'Input Sheet'!$C$6,'Cap Budg'!G4,2))</f>
        <v>4096.0000000000027</v>
      </c>
      <c r="H49" s="20">
        <f>IF('Input Sheet'!$C$8=1,(('Input Sheet'!$C$4-'Input Sheet'!$C$7)/'Input Sheet'!$C$6)*I19,DDB('Input Sheet'!$C$4,'Input Sheet'!$C$7,'Input Sheet'!$C$6,'Cap Budg'!H4,2))</f>
        <v>3276.8000000000025</v>
      </c>
      <c r="I49" s="20">
        <f>IF('Input Sheet'!$C$8=1,(('Input Sheet'!$C$4-'Input Sheet'!$C$7)/'Input Sheet'!$C$6)*J19,DDB('Input Sheet'!$C$4,'Input Sheet'!$C$7,'Input Sheet'!$C$6,'Cap Budg'!I4,2))</f>
        <v>2621.4400000000019</v>
      </c>
      <c r="J49" s="20">
        <f>IF('Input Sheet'!$C$8=1,(('Input Sheet'!$C$4-'Input Sheet'!$C$7)/'Input Sheet'!$C$6)*K19,DDB('Input Sheet'!$C$4,'Input Sheet'!$C$7,'Input Sheet'!$C$6,'Cap Budg'!J4,2))</f>
        <v>2097.1520000000014</v>
      </c>
      <c r="K49" s="20">
        <f>IF('Input Sheet'!$C$8=1,(('Input Sheet'!$C$4-'Input Sheet'!$C$7)/'Input Sheet'!$C$6)*L19,DDB('Input Sheet'!$C$4,'Input Sheet'!$C$7,'Input Sheet'!$C$6,'Cap Budg'!K4,2))</f>
        <v>1677.7216000000017</v>
      </c>
      <c r="L49" s="20">
        <f>IF('Input Sheet'!$C$8=1,(('Input Sheet'!$C$4-'Input Sheet'!$C$7)/'Input Sheet'!$C$6)*M19,DDB('Input Sheet'!$C$4,'Input Sheet'!$C$7,'Input Sheet'!$C$6,'Cap Budg'!L4,2))</f>
        <v>1342.1772800000012</v>
      </c>
    </row>
    <row r="50" spans="1:12">
      <c r="A50" s="28" t="s">
        <v>66</v>
      </c>
      <c r="B50" s="20">
        <f>'Input Sheet'!C4</f>
        <v>50000</v>
      </c>
      <c r="C50" s="20">
        <f t="shared" ref="C50:L50" si="9">C48-C49</f>
        <v>40000</v>
      </c>
      <c r="D50" s="20">
        <f t="shared" si="9"/>
        <v>32000</v>
      </c>
      <c r="E50" s="20">
        <f t="shared" si="9"/>
        <v>25600</v>
      </c>
      <c r="F50" s="20">
        <f t="shared" si="9"/>
        <v>20480</v>
      </c>
      <c r="G50" s="20">
        <f t="shared" si="9"/>
        <v>16383.999999999996</v>
      </c>
      <c r="H50" s="20">
        <f t="shared" si="9"/>
        <v>13107.199999999993</v>
      </c>
      <c r="I50" s="20">
        <f t="shared" si="9"/>
        <v>10485.759999999991</v>
      </c>
      <c r="J50" s="20">
        <f t="shared" si="9"/>
        <v>8388.6079999999893</v>
      </c>
      <c r="K50" s="20">
        <f t="shared" si="9"/>
        <v>6710.8863999999876</v>
      </c>
      <c r="L50" s="20">
        <f t="shared" si="9"/>
        <v>5368.7091199999868</v>
      </c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4" spans="1:12">
      <c r="C54" s="19"/>
      <c r="D54" s="19"/>
      <c r="E54" s="19"/>
      <c r="F54" s="19"/>
      <c r="G54" s="19"/>
      <c r="H54" s="19"/>
      <c r="I54" s="19"/>
      <c r="J54" s="19"/>
      <c r="K54" s="19"/>
      <c r="L54" s="19"/>
    </row>
  </sheetData>
  <mergeCells count="1">
    <mergeCell ref="D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zoomScale="60" zoomScaleNormal="60" workbookViewId="0">
      <selection activeCell="V27" sqref="V2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Sheet</vt:lpstr>
      <vt:lpstr>Cap Budg</vt:lpstr>
      <vt:lpstr>Analysis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Sadaf </cp:lastModifiedBy>
  <dcterms:created xsi:type="dcterms:W3CDTF">2012-07-17T07:01:06Z</dcterms:created>
  <dcterms:modified xsi:type="dcterms:W3CDTF">2015-10-26T15:10:34Z</dcterms:modified>
</cp:coreProperties>
</file>